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6" windowHeight="10905"/>
  </bookViews>
  <sheets>
    <sheet name="情况统计及金额预估表" sheetId="1" r:id="rId1"/>
    <sheet name="挡墙细量" sheetId="2" r:id="rId2"/>
  </sheets>
  <definedNames>
    <definedName name="_xlnm.Print_Titles" localSheetId="1">挡墙细量!$1:$2</definedName>
    <definedName name="_xlnm.Print_Titles" localSheetId="0">情况统计及金额预估表!$1:$2</definedName>
  </definedNames>
  <calcPr calcId="125725"/>
</workbook>
</file>

<file path=xl/calcChain.xml><?xml version="1.0" encoding="utf-8"?>
<calcChain xmlns="http://schemas.openxmlformats.org/spreadsheetml/2006/main">
  <c r="I25" i="2"/>
  <c r="I23"/>
  <c r="B23"/>
  <c r="I22"/>
  <c r="H22"/>
  <c r="F22"/>
  <c r="I21"/>
  <c r="H21"/>
  <c r="F21"/>
  <c r="I20"/>
  <c r="H20"/>
  <c r="F20"/>
  <c r="I19"/>
  <c r="H19"/>
  <c r="F19"/>
  <c r="I18"/>
  <c r="H18"/>
  <c r="F18"/>
  <c r="I17"/>
  <c r="H17"/>
  <c r="F17"/>
  <c r="I16"/>
  <c r="H16"/>
  <c r="F16"/>
  <c r="I15"/>
  <c r="I14"/>
  <c r="H14"/>
  <c r="F14"/>
  <c r="I13"/>
  <c r="H13"/>
  <c r="F13"/>
  <c r="I12"/>
  <c r="H12"/>
  <c r="F12"/>
  <c r="I11"/>
  <c r="I10"/>
  <c r="H10"/>
  <c r="F10"/>
  <c r="I9"/>
  <c r="H9"/>
  <c r="F9"/>
  <c r="I8"/>
  <c r="H8"/>
  <c r="F8"/>
  <c r="B8"/>
  <c r="B9" s="1"/>
  <c r="I7"/>
  <c r="H7"/>
  <c r="F7"/>
  <c r="B7"/>
  <c r="A7"/>
  <c r="I6"/>
  <c r="H6"/>
  <c r="F6"/>
  <c r="I5"/>
  <c r="H5"/>
  <c r="F5"/>
  <c r="I4"/>
  <c r="H4"/>
  <c r="F4"/>
  <c r="I3"/>
  <c r="H48" i="1"/>
  <c r="I48" s="1"/>
  <c r="F47"/>
  <c r="H47" s="1"/>
  <c r="F46"/>
  <c r="H46" s="1"/>
  <c r="H45"/>
  <c r="I45" s="1"/>
  <c r="F44"/>
  <c r="H44" s="1"/>
  <c r="F43"/>
  <c r="H43" s="1"/>
  <c r="H42"/>
  <c r="H41"/>
  <c r="F40"/>
  <c r="H40" s="1"/>
  <c r="F39"/>
  <c r="H39" s="1"/>
  <c r="H38"/>
  <c r="H37"/>
  <c r="F36"/>
  <c r="H36" s="1"/>
  <c r="H35"/>
  <c r="F34"/>
  <c r="H34" s="1"/>
  <c r="H33"/>
  <c r="F32"/>
  <c r="H32" s="1"/>
  <c r="F30"/>
  <c r="H30" s="1"/>
  <c r="H29"/>
  <c r="H28"/>
  <c r="H27"/>
  <c r="H26"/>
  <c r="H25"/>
  <c r="F24"/>
  <c r="H24" s="1"/>
  <c r="F23"/>
  <c r="H23" s="1"/>
  <c r="H22"/>
  <c r="H20"/>
  <c r="H19"/>
  <c r="I19" s="1"/>
  <c r="H18"/>
  <c r="F17"/>
  <c r="H17" s="1"/>
  <c r="F16"/>
  <c r="H16" s="1"/>
  <c r="H15"/>
  <c r="H14"/>
  <c r="H13"/>
  <c r="F12"/>
  <c r="H12" s="1"/>
  <c r="H11"/>
  <c r="F10"/>
  <c r="H10" s="1"/>
  <c r="F9"/>
  <c r="H9" s="1"/>
  <c r="H8"/>
  <c r="H7"/>
  <c r="H6"/>
  <c r="F5"/>
  <c r="H5" s="1"/>
  <c r="F4"/>
  <c r="H4" s="1"/>
  <c r="F3"/>
  <c r="H3" s="1"/>
  <c r="I42" l="1"/>
  <c r="I6"/>
  <c r="I3"/>
  <c r="I11"/>
  <c r="I15"/>
  <c r="I26"/>
  <c r="I32"/>
  <c r="I34"/>
  <c r="I36"/>
  <c r="I38"/>
  <c r="I22"/>
</calcChain>
</file>

<file path=xl/sharedStrings.xml><?xml version="1.0" encoding="utf-8"?>
<sst xmlns="http://schemas.openxmlformats.org/spreadsheetml/2006/main" count="173" uniqueCount="90">
  <si>
    <t>序号</t>
  </si>
  <si>
    <t>村名及项目地点</t>
  </si>
  <si>
    <t>整治类型</t>
  </si>
  <si>
    <t>工程名称</t>
  </si>
  <si>
    <t>单位</t>
  </si>
  <si>
    <t>主要工程数量</t>
  </si>
  <si>
    <t>预估单价(元)</t>
  </si>
  <si>
    <t>工程预估价（元）</t>
  </si>
  <si>
    <t>合计资金（元）</t>
  </si>
  <si>
    <t>备注</t>
  </si>
  <si>
    <t>大全村8组杨叉沟至大成寨</t>
  </si>
  <si>
    <t>长50m、宽2m、高5m的挖土方，护坡，道路修复及硬化</t>
  </si>
  <si>
    <t>挖土方</t>
  </si>
  <si>
    <r>
      <rPr>
        <sz val="12"/>
        <color rgb="FF000000"/>
        <rFont val="仿宋"/>
        <family val="3"/>
        <charset val="134"/>
      </rPr>
      <t>m</t>
    </r>
    <r>
      <rPr>
        <vertAlign val="superscript"/>
        <sz val="12"/>
        <color rgb="FF000000"/>
        <rFont val="仿宋"/>
        <family val="3"/>
        <charset val="134"/>
      </rPr>
      <t>3</t>
    </r>
  </si>
  <si>
    <t>C20片石砼内挡</t>
  </si>
  <si>
    <t>C30砼路面</t>
  </si>
  <si>
    <r>
      <rPr>
        <sz val="12"/>
        <color rgb="FF000000"/>
        <rFont val="仿宋"/>
        <family val="3"/>
        <charset val="134"/>
      </rPr>
      <t>m</t>
    </r>
    <r>
      <rPr>
        <vertAlign val="superscript"/>
        <sz val="12"/>
        <color rgb="FF000000"/>
        <rFont val="仿宋"/>
        <family val="3"/>
        <charset val="134"/>
      </rPr>
      <t>2</t>
    </r>
  </si>
  <si>
    <t>大全村3组灶泥沟水库</t>
  </si>
  <si>
    <t>长15m、宽4m、高3.1m的道路修复（含涵洞、堡坎）</t>
  </si>
  <si>
    <t>1-Φ600圆管涵</t>
  </si>
  <si>
    <t>m</t>
  </si>
  <si>
    <t>利用石方回填</t>
  </si>
  <si>
    <t>C20片石砼挡土墙（含挖基及回填）</t>
  </si>
  <si>
    <t>土竹村8组一碗水处</t>
  </si>
  <si>
    <t>福城村8组王家庄塘边</t>
  </si>
  <si>
    <t>长7.3m、宽4m、高2.8m的道路恢复（含涵洞、堡坎）</t>
  </si>
  <si>
    <t>长16m、宽5.5m、高2.9m道路恢复（含涵洞、挡墙）</t>
  </si>
  <si>
    <t>道路恢复及挡墙，挡墙长30m（其中10m高5m，其余20m高3.5m）</t>
  </si>
  <si>
    <t>新建2-10m空心板桥，桥宽5米，桥梁全长30米，桥台桥墩高4.8米</t>
  </si>
  <si>
    <t>2-10m空心板桥</t>
  </si>
  <si>
    <t>欢喜坪村8组凉山树至石吖寨</t>
  </si>
  <si>
    <t>道路恢复长58m、宽4m、高5.8m（需改道400m）</t>
  </si>
  <si>
    <t>花板桥村8组庵子边、狮窝子、庵子边桥梁</t>
  </si>
  <si>
    <t>狮窝子（挡墙20米及路面恢复80米）,庵子边堡坎长40m）,庵子边桥梁一字墙长25m高3m</t>
  </si>
  <si>
    <t>1-4m钢筋砼盖板涵</t>
  </si>
  <si>
    <t>C20砼排水沟</t>
  </si>
  <si>
    <t>新建2-8m板桥，桥宽4.5米，桥梁全长22米，桥台桥墩高3米</t>
  </si>
  <si>
    <t>2-8m板桥</t>
  </si>
  <si>
    <t>寨峰村6组桃园牌坊入口</t>
  </si>
  <si>
    <t>长20m、高4m的堡坎及道路恢复</t>
  </si>
  <si>
    <t>寨峰村1组水打桥边路段</t>
  </si>
  <si>
    <t>长80m、高3m的堡坎及道路恢复</t>
  </si>
  <si>
    <t>长3.5m、宽4m、高3m桥台加固</t>
  </si>
  <si>
    <t>C30砼桥台</t>
  </si>
  <si>
    <t>桥台围堰</t>
  </si>
  <si>
    <t>楼房村6组涵洞边</t>
  </si>
  <si>
    <t>长15m、高4.5m的堡坎及道路恢复（修涵洞7m）</t>
  </si>
  <si>
    <t>楼房村3组蒋家湾大桥旁边</t>
  </si>
  <si>
    <t>长20m、高3.5m的堡坎及道路恢复</t>
  </si>
  <si>
    <t>建福村5组甲甲滩</t>
  </si>
  <si>
    <t>长35m、高4m的堡坎及道路恢复</t>
  </si>
  <si>
    <t>建福村7组罗家桥老桥</t>
  </si>
  <si>
    <t>河道对岸挡墙长10米，高9米</t>
  </si>
  <si>
    <t>建福村10组杨家湾</t>
  </si>
  <si>
    <t>建福村1组原姚市乡道转弯处</t>
  </si>
  <si>
    <t>楼房村2组石板丘</t>
  </si>
  <si>
    <t>总合计</t>
  </si>
  <si>
    <t>挡土墙数据及工程量计算式</t>
  </si>
  <si>
    <t>桩号</t>
  </si>
  <si>
    <t>长(m)</t>
  </si>
  <si>
    <t>墙身高(m)</t>
  </si>
  <si>
    <t>墙身顶宽(m)</t>
  </si>
  <si>
    <t>墙身底宽(m)</t>
  </si>
  <si>
    <t>基础高(m)</t>
  </si>
  <si>
    <t>基础宽(m)</t>
  </si>
  <si>
    <t>C20片石砼挡土墙(m3)</t>
  </si>
  <si>
    <t>内挡</t>
  </si>
  <si>
    <t>合计</t>
  </si>
  <si>
    <t>修建长36米墙身高6.8米的挡土墙；</t>
    <phoneticPr fontId="12" type="noConversion"/>
  </si>
  <si>
    <t>土竹村8组一碗水道路滑坡点</t>
    <phoneticPr fontId="12" type="noConversion"/>
  </si>
  <si>
    <t>大全村8组杨叉沟至大成寨</t>
    <phoneticPr fontId="12" type="noConversion"/>
  </si>
  <si>
    <t>大全村3组小水库</t>
    <phoneticPr fontId="12" type="noConversion"/>
  </si>
  <si>
    <t>福城村8组王家庄塘边</t>
    <phoneticPr fontId="12" type="noConversion"/>
  </si>
  <si>
    <t>福城村7组三块碑道路</t>
    <phoneticPr fontId="12" type="noConversion"/>
  </si>
  <si>
    <t>长乐村4组猫儿沟</t>
    <phoneticPr fontId="12" type="noConversion"/>
  </si>
  <si>
    <t>五桂村10组五桂塘便民桥</t>
    <phoneticPr fontId="12" type="noConversion"/>
  </si>
  <si>
    <t>欢喜坪村8组凉山树至石吖寨</t>
    <phoneticPr fontId="12" type="noConversion"/>
  </si>
  <si>
    <t>花板桥村8组庵子边、狮窝子、庵子边桥梁</t>
    <phoneticPr fontId="12" type="noConversion"/>
  </si>
  <si>
    <t>寨峰村4组大沙田便民桥</t>
    <phoneticPr fontId="12" type="noConversion"/>
  </si>
  <si>
    <t>寨峰村6组桃园牌坊入口</t>
    <phoneticPr fontId="12" type="noConversion"/>
  </si>
  <si>
    <t>寨峰村1组水打桥边路段</t>
    <phoneticPr fontId="12" type="noConversion"/>
  </si>
  <si>
    <t>老场村5组李家湾桥梁</t>
    <phoneticPr fontId="12" type="noConversion"/>
  </si>
  <si>
    <t>楼房村6组涵洞边</t>
    <phoneticPr fontId="12" type="noConversion"/>
  </si>
  <si>
    <t>楼房村3组蒋家湾大桥旁边</t>
    <phoneticPr fontId="12" type="noConversion"/>
  </si>
  <si>
    <t>建福村5组甲甲滩</t>
    <phoneticPr fontId="12" type="noConversion"/>
  </si>
  <si>
    <t>建福村7组罗家桥老桥</t>
    <phoneticPr fontId="12" type="noConversion"/>
  </si>
  <si>
    <t>土竹村8组一碗水桥梁</t>
    <phoneticPr fontId="12" type="noConversion"/>
  </si>
  <si>
    <t>新建1-8米的钢筋砼板桥，高3米，宽5.5米</t>
    <phoneticPr fontId="12" type="noConversion"/>
  </si>
  <si>
    <t>新建1-8米的钢筋砼板桥</t>
    <phoneticPr fontId="12" type="noConversion"/>
  </si>
  <si>
    <t>庙坝镇“8·8”强降雨后损坏道路、桥梁抢险救灾工程项目金额预估表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</si>
</sst>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rgb="FF000000"/>
      <name val="黑体"/>
      <family val="3"/>
      <charset val="134"/>
    </font>
    <font>
      <sz val="12"/>
      <color rgb="FF000000"/>
      <name val="仿宋"/>
      <family val="3"/>
      <charset val="134"/>
    </font>
    <font>
      <sz val="12"/>
      <color theme="1"/>
      <name val="仿宋"/>
      <family val="3"/>
      <charset val="134"/>
    </font>
    <font>
      <b/>
      <sz val="12"/>
      <color rgb="FF000000"/>
      <name val="仿宋"/>
      <family val="3"/>
      <charset val="134"/>
    </font>
    <font>
      <sz val="15"/>
      <color rgb="FF000000"/>
      <name val="仿宋"/>
      <family val="3"/>
      <charset val="134"/>
    </font>
    <font>
      <sz val="12"/>
      <color theme="1"/>
      <name val="宋体"/>
      <family val="3"/>
      <charset val="134"/>
    </font>
    <font>
      <vertAlign val="superscript"/>
      <sz val="12"/>
      <color rgb="FF000000"/>
      <name val="仿宋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topLeftCell="A40" workbookViewId="0">
      <selection activeCell="L8" sqref="L8"/>
    </sheetView>
  </sheetViews>
  <sheetFormatPr defaultColWidth="8.88671875" defaultRowHeight="39.950000000000003" customHeight="1"/>
  <cols>
    <col min="1" max="1" width="5.44140625" style="5" customWidth="1"/>
    <col min="2" max="2" width="14.44140625" style="5" customWidth="1"/>
    <col min="3" max="3" width="23.77734375" style="5" customWidth="1"/>
    <col min="4" max="4" width="22.21875" style="5" customWidth="1"/>
    <col min="5" max="5" width="7.77734375" style="5" customWidth="1"/>
    <col min="6" max="6" width="10.33203125" style="5" customWidth="1"/>
    <col min="7" max="7" width="10.109375" style="5" customWidth="1"/>
    <col min="8" max="8" width="10.88671875" style="5" customWidth="1"/>
    <col min="9" max="9" width="10.6640625" style="5" customWidth="1"/>
    <col min="10" max="10" width="6.44140625" style="5" customWidth="1"/>
    <col min="11" max="16384" width="8.88671875" style="5"/>
  </cols>
  <sheetData>
    <row r="1" spans="1:10" ht="28" customHeight="1">
      <c r="A1" s="18" t="s">
        <v>89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4" customFormat="1" ht="39.950000000000003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</row>
    <row r="3" spans="1:10" s="4" customFormat="1" ht="24.9" customHeight="1">
      <c r="A3" s="19">
        <v>1</v>
      </c>
      <c r="B3" s="20" t="s">
        <v>70</v>
      </c>
      <c r="C3" s="19" t="s">
        <v>11</v>
      </c>
      <c r="D3" s="7" t="s">
        <v>12</v>
      </c>
      <c r="E3" s="7" t="s">
        <v>13</v>
      </c>
      <c r="F3" s="7">
        <f>50*2*5</f>
        <v>500</v>
      </c>
      <c r="G3" s="7">
        <v>10</v>
      </c>
      <c r="H3" s="7">
        <f>G3*F3</f>
        <v>5000</v>
      </c>
      <c r="I3" s="19">
        <f>H3+H4+H5</f>
        <v>92000</v>
      </c>
      <c r="J3" s="11"/>
    </row>
    <row r="4" spans="1:10" s="4" customFormat="1" ht="24.9" customHeight="1">
      <c r="A4" s="19"/>
      <c r="B4" s="20"/>
      <c r="C4" s="19"/>
      <c r="D4" s="7" t="s">
        <v>14</v>
      </c>
      <c r="E4" s="7" t="s">
        <v>13</v>
      </c>
      <c r="F4" s="7">
        <f>50*2*1</f>
        <v>100</v>
      </c>
      <c r="G4" s="7">
        <v>600</v>
      </c>
      <c r="H4" s="7">
        <f>G4*F4</f>
        <v>60000</v>
      </c>
      <c r="I4" s="19"/>
      <c r="J4" s="11"/>
    </row>
    <row r="5" spans="1:10" s="4" customFormat="1" ht="24.9" customHeight="1">
      <c r="A5" s="19"/>
      <c r="B5" s="20"/>
      <c r="C5" s="19"/>
      <c r="D5" s="7" t="s">
        <v>15</v>
      </c>
      <c r="E5" s="7" t="s">
        <v>16</v>
      </c>
      <c r="F5" s="7">
        <f>50*4.5</f>
        <v>225</v>
      </c>
      <c r="G5" s="7">
        <v>120</v>
      </c>
      <c r="H5" s="7">
        <f>G5*F5</f>
        <v>27000</v>
      </c>
      <c r="I5" s="19"/>
      <c r="J5" s="11"/>
    </row>
    <row r="6" spans="1:10" s="4" customFormat="1" ht="24.9" customHeight="1">
      <c r="A6" s="19">
        <v>2</v>
      </c>
      <c r="B6" s="20" t="s">
        <v>71</v>
      </c>
      <c r="C6" s="19" t="s">
        <v>18</v>
      </c>
      <c r="D6" s="7" t="s">
        <v>19</v>
      </c>
      <c r="E6" s="7" t="s">
        <v>20</v>
      </c>
      <c r="F6" s="7">
        <v>6</v>
      </c>
      <c r="G6" s="7">
        <v>800</v>
      </c>
      <c r="H6" s="7">
        <f>G6*F6</f>
        <v>4800</v>
      </c>
      <c r="I6" s="19">
        <f>H6+H8+H7</f>
        <v>102592</v>
      </c>
      <c r="J6" s="12"/>
    </row>
    <row r="7" spans="1:10" s="4" customFormat="1" ht="24.9" customHeight="1">
      <c r="A7" s="19"/>
      <c r="B7" s="20"/>
      <c r="C7" s="19"/>
      <c r="D7" s="7" t="s">
        <v>21</v>
      </c>
      <c r="E7" s="7" t="s">
        <v>13</v>
      </c>
      <c r="F7" s="7">
        <v>80</v>
      </c>
      <c r="G7" s="7">
        <v>15</v>
      </c>
      <c r="H7" s="7">
        <f>G7*F7</f>
        <v>1200</v>
      </c>
      <c r="I7" s="19"/>
      <c r="J7" s="12"/>
    </row>
    <row r="8" spans="1:10" s="4" customFormat="1" ht="38.15" customHeight="1">
      <c r="A8" s="19"/>
      <c r="B8" s="20"/>
      <c r="C8" s="19"/>
      <c r="D8" s="7" t="s">
        <v>22</v>
      </c>
      <c r="E8" s="7" t="s">
        <v>13</v>
      </c>
      <c r="F8" s="7">
        <v>120.74</v>
      </c>
      <c r="G8" s="7">
        <v>800</v>
      </c>
      <c r="H8" s="7">
        <f t="shared" ref="H8:H12" si="0">G8*F8</f>
        <v>96592</v>
      </c>
      <c r="I8" s="19"/>
      <c r="J8" s="12"/>
    </row>
    <row r="9" spans="1:10" s="4" customFormat="1" ht="36" customHeight="1">
      <c r="A9" s="19">
        <v>3</v>
      </c>
      <c r="B9" s="19" t="s">
        <v>69</v>
      </c>
      <c r="C9" s="19" t="s">
        <v>68</v>
      </c>
      <c r="D9" s="7" t="s">
        <v>22</v>
      </c>
      <c r="E9" s="7" t="s">
        <v>13</v>
      </c>
      <c r="F9" s="7">
        <f>挡墙细量!I5</f>
        <v>627.12</v>
      </c>
      <c r="G9" s="7">
        <v>800</v>
      </c>
      <c r="H9" s="7">
        <f t="shared" si="0"/>
        <v>501696</v>
      </c>
      <c r="I9" s="19">
        <v>511296</v>
      </c>
      <c r="J9" s="12"/>
    </row>
    <row r="10" spans="1:10" s="4" customFormat="1" ht="24.9" customHeight="1">
      <c r="A10" s="19"/>
      <c r="B10" s="19"/>
      <c r="C10" s="19"/>
      <c r="D10" s="7" t="s">
        <v>15</v>
      </c>
      <c r="E10" s="7" t="s">
        <v>16</v>
      </c>
      <c r="F10" s="7">
        <f>40*2</f>
        <v>80</v>
      </c>
      <c r="G10" s="7">
        <v>120</v>
      </c>
      <c r="H10" s="7">
        <f t="shared" si="0"/>
        <v>9600</v>
      </c>
      <c r="I10" s="19"/>
      <c r="J10" s="12"/>
    </row>
    <row r="11" spans="1:10" s="4" customFormat="1" ht="27" customHeight="1">
      <c r="A11" s="19">
        <v>4</v>
      </c>
      <c r="B11" s="19" t="s">
        <v>72</v>
      </c>
      <c r="C11" s="19" t="s">
        <v>25</v>
      </c>
      <c r="D11" s="7" t="s">
        <v>19</v>
      </c>
      <c r="E11" s="7" t="s">
        <v>20</v>
      </c>
      <c r="F11" s="7">
        <v>6</v>
      </c>
      <c r="G11" s="7">
        <v>800</v>
      </c>
      <c r="H11" s="7">
        <f t="shared" si="0"/>
        <v>4800</v>
      </c>
      <c r="I11" s="19">
        <f>H11+H14+H12+H13</f>
        <v>46254</v>
      </c>
      <c r="J11" s="12"/>
    </row>
    <row r="12" spans="1:10" s="4" customFormat="1" ht="27" customHeight="1">
      <c r="A12" s="19"/>
      <c r="B12" s="19"/>
      <c r="C12" s="19"/>
      <c r="D12" s="7" t="s">
        <v>15</v>
      </c>
      <c r="E12" s="7" t="s">
        <v>16</v>
      </c>
      <c r="F12" s="7">
        <f>7.3*4</f>
        <v>29.2</v>
      </c>
      <c r="G12" s="7">
        <v>120</v>
      </c>
      <c r="H12" s="7">
        <f t="shared" si="0"/>
        <v>3504</v>
      </c>
      <c r="I12" s="19"/>
      <c r="J12" s="12"/>
    </row>
    <row r="13" spans="1:10" s="4" customFormat="1" ht="27" customHeight="1">
      <c r="A13" s="19"/>
      <c r="B13" s="19"/>
      <c r="C13" s="19"/>
      <c r="D13" s="7" t="s">
        <v>21</v>
      </c>
      <c r="E13" s="7" t="s">
        <v>13</v>
      </c>
      <c r="F13" s="7">
        <v>50</v>
      </c>
      <c r="G13" s="7">
        <v>15</v>
      </c>
      <c r="H13" s="7">
        <f t="shared" ref="H13:H16" si="1">G13*F13</f>
        <v>750</v>
      </c>
      <c r="I13" s="19"/>
      <c r="J13" s="12"/>
    </row>
    <row r="14" spans="1:10" s="4" customFormat="1" ht="33.049999999999997" customHeight="1">
      <c r="A14" s="19"/>
      <c r="B14" s="19"/>
      <c r="C14" s="19"/>
      <c r="D14" s="7" t="s">
        <v>22</v>
      </c>
      <c r="E14" s="7" t="s">
        <v>13</v>
      </c>
      <c r="F14" s="7">
        <v>46.5</v>
      </c>
      <c r="G14" s="7">
        <v>800</v>
      </c>
      <c r="H14" s="7">
        <f t="shared" si="1"/>
        <v>37200</v>
      </c>
      <c r="I14" s="19"/>
      <c r="J14" s="12"/>
    </row>
    <row r="15" spans="1:10" s="4" customFormat="1" ht="24.9" customHeight="1">
      <c r="A15" s="19">
        <v>5</v>
      </c>
      <c r="B15" s="19" t="s">
        <v>73</v>
      </c>
      <c r="C15" s="19" t="s">
        <v>26</v>
      </c>
      <c r="D15" s="7" t="s">
        <v>19</v>
      </c>
      <c r="E15" s="7" t="s">
        <v>20</v>
      </c>
      <c r="F15" s="7">
        <v>6</v>
      </c>
      <c r="G15" s="7">
        <v>800</v>
      </c>
      <c r="H15" s="7">
        <f t="shared" si="1"/>
        <v>4800</v>
      </c>
      <c r="I15" s="19">
        <f>H15+H18+H16+H17</f>
        <v>103104</v>
      </c>
      <c r="J15" s="13"/>
    </row>
    <row r="16" spans="1:10" s="4" customFormat="1" ht="24.9" customHeight="1">
      <c r="A16" s="19"/>
      <c r="B16" s="19"/>
      <c r="C16" s="19"/>
      <c r="D16" s="7" t="s">
        <v>15</v>
      </c>
      <c r="E16" s="7" t="s">
        <v>16</v>
      </c>
      <c r="F16" s="7">
        <f>16*5.5</f>
        <v>88</v>
      </c>
      <c r="G16" s="7">
        <v>120</v>
      </c>
      <c r="H16" s="7">
        <f t="shared" si="1"/>
        <v>10560</v>
      </c>
      <c r="I16" s="19"/>
      <c r="J16" s="13"/>
    </row>
    <row r="17" spans="1:10" s="4" customFormat="1" ht="24.9" customHeight="1">
      <c r="A17" s="19"/>
      <c r="B17" s="19"/>
      <c r="C17" s="19"/>
      <c r="D17" s="7" t="s">
        <v>21</v>
      </c>
      <c r="E17" s="7" t="s">
        <v>13</v>
      </c>
      <c r="F17" s="7">
        <f>16*5*3</f>
        <v>240</v>
      </c>
      <c r="G17" s="7">
        <v>15</v>
      </c>
      <c r="H17" s="7">
        <f t="shared" ref="H17:H27" si="2">G17*F17</f>
        <v>3600</v>
      </c>
      <c r="I17" s="19"/>
      <c r="J17" s="13"/>
    </row>
    <row r="18" spans="1:10" s="4" customFormat="1" ht="37" customHeight="1">
      <c r="A18" s="19"/>
      <c r="B18" s="19"/>
      <c r="C18" s="19"/>
      <c r="D18" s="7" t="s">
        <v>22</v>
      </c>
      <c r="E18" s="7" t="s">
        <v>13</v>
      </c>
      <c r="F18" s="7">
        <v>105.18</v>
      </c>
      <c r="G18" s="7">
        <v>800</v>
      </c>
      <c r="H18" s="7">
        <f t="shared" si="2"/>
        <v>84144</v>
      </c>
      <c r="I18" s="19"/>
      <c r="J18" s="13"/>
    </row>
    <row r="19" spans="1:10" s="4" customFormat="1" ht="24.9" customHeight="1">
      <c r="A19" s="19">
        <v>6</v>
      </c>
      <c r="B19" s="20" t="s">
        <v>74</v>
      </c>
      <c r="C19" s="19" t="s">
        <v>27</v>
      </c>
      <c r="D19" s="7" t="s">
        <v>19</v>
      </c>
      <c r="E19" s="7" t="s">
        <v>20</v>
      </c>
      <c r="F19" s="7">
        <v>6</v>
      </c>
      <c r="G19" s="7">
        <v>800</v>
      </c>
      <c r="H19" s="7">
        <f t="shared" si="2"/>
        <v>4800</v>
      </c>
      <c r="I19" s="19">
        <f>H19+H20</f>
        <v>228360</v>
      </c>
      <c r="J19" s="13"/>
    </row>
    <row r="20" spans="1:10" s="4" customFormat="1" ht="47.95" customHeight="1">
      <c r="A20" s="19"/>
      <c r="B20" s="20"/>
      <c r="C20" s="19"/>
      <c r="D20" s="7" t="s">
        <v>22</v>
      </c>
      <c r="E20" s="7" t="s">
        <v>13</v>
      </c>
      <c r="F20" s="7">
        <v>279.45</v>
      </c>
      <c r="G20" s="7">
        <v>800</v>
      </c>
      <c r="H20" s="7">
        <f t="shared" si="2"/>
        <v>223560</v>
      </c>
      <c r="I20" s="19"/>
      <c r="J20" s="12"/>
    </row>
    <row r="21" spans="1:10" s="4" customFormat="1" ht="64" customHeight="1">
      <c r="A21" s="7">
        <v>7</v>
      </c>
      <c r="B21" s="15" t="s">
        <v>75</v>
      </c>
      <c r="C21" s="7" t="s">
        <v>28</v>
      </c>
      <c r="D21" s="7" t="s">
        <v>29</v>
      </c>
      <c r="E21" s="7" t="s">
        <v>20</v>
      </c>
      <c r="F21" s="7">
        <v>20</v>
      </c>
      <c r="G21" s="7">
        <v>35000</v>
      </c>
      <c r="H21" s="7">
        <v>700000</v>
      </c>
      <c r="I21" s="7">
        <v>700000</v>
      </c>
      <c r="J21" s="13"/>
    </row>
    <row r="22" spans="1:10" s="4" customFormat="1" ht="33.9" customHeight="1">
      <c r="A22" s="19">
        <v>8</v>
      </c>
      <c r="B22" s="19" t="s">
        <v>76</v>
      </c>
      <c r="C22" s="19" t="s">
        <v>31</v>
      </c>
      <c r="D22" s="7" t="s">
        <v>19</v>
      </c>
      <c r="E22" s="7" t="s">
        <v>20</v>
      </c>
      <c r="F22" s="7">
        <v>6</v>
      </c>
      <c r="G22" s="7">
        <v>800</v>
      </c>
      <c r="H22" s="7">
        <f t="shared" si="2"/>
        <v>4800</v>
      </c>
      <c r="I22" s="19">
        <f>SUM(H22:H25)</f>
        <v>973608</v>
      </c>
      <c r="J22" s="13"/>
    </row>
    <row r="23" spans="1:10" s="4" customFormat="1" ht="33.9" customHeight="1">
      <c r="A23" s="19"/>
      <c r="B23" s="19"/>
      <c r="C23" s="19"/>
      <c r="D23" s="7" t="s">
        <v>15</v>
      </c>
      <c r="E23" s="7" t="s">
        <v>16</v>
      </c>
      <c r="F23" s="7">
        <f>400*5+58*2</f>
        <v>2116</v>
      </c>
      <c r="G23" s="7">
        <v>120</v>
      </c>
      <c r="H23" s="7">
        <f t="shared" si="2"/>
        <v>253920</v>
      </c>
      <c r="I23" s="19"/>
      <c r="J23" s="12"/>
    </row>
    <row r="24" spans="1:10" s="4" customFormat="1" ht="33.9" customHeight="1">
      <c r="A24" s="19"/>
      <c r="B24" s="19"/>
      <c r="C24" s="19"/>
      <c r="D24" s="7" t="s">
        <v>12</v>
      </c>
      <c r="E24" s="7" t="s">
        <v>13</v>
      </c>
      <c r="F24" s="7">
        <f>400*5*2</f>
        <v>4000</v>
      </c>
      <c r="G24" s="7">
        <v>10</v>
      </c>
      <c r="H24" s="7">
        <f t="shared" si="2"/>
        <v>40000</v>
      </c>
      <c r="I24" s="19"/>
      <c r="J24" s="12"/>
    </row>
    <row r="25" spans="1:10" s="4" customFormat="1" ht="33.9" customHeight="1">
      <c r="A25" s="19"/>
      <c r="B25" s="19"/>
      <c r="C25" s="19"/>
      <c r="D25" s="7" t="s">
        <v>22</v>
      </c>
      <c r="E25" s="7" t="s">
        <v>13</v>
      </c>
      <c r="F25" s="7">
        <v>843.61</v>
      </c>
      <c r="G25" s="7">
        <v>800</v>
      </c>
      <c r="H25" s="7">
        <f t="shared" si="2"/>
        <v>674888</v>
      </c>
      <c r="I25" s="19"/>
      <c r="J25" s="12"/>
    </row>
    <row r="26" spans="1:10" s="4" customFormat="1" ht="30.95" customHeight="1">
      <c r="A26" s="19">
        <v>9</v>
      </c>
      <c r="B26" s="20" t="s">
        <v>77</v>
      </c>
      <c r="C26" s="19" t="s">
        <v>33</v>
      </c>
      <c r="D26" s="7" t="s">
        <v>22</v>
      </c>
      <c r="E26" s="7" t="s">
        <v>13</v>
      </c>
      <c r="F26" s="7">
        <v>638.88</v>
      </c>
      <c r="G26" s="7">
        <v>800</v>
      </c>
      <c r="H26" s="7">
        <f t="shared" si="2"/>
        <v>511104</v>
      </c>
      <c r="I26" s="23">
        <f>H26+H27+H28+H29+H30</f>
        <v>603804</v>
      </c>
      <c r="J26" s="12"/>
    </row>
    <row r="27" spans="1:10" s="4" customFormat="1" ht="24.9" customHeight="1">
      <c r="A27" s="19"/>
      <c r="B27" s="20"/>
      <c r="C27" s="19"/>
      <c r="D27" s="7" t="s">
        <v>14</v>
      </c>
      <c r="E27" s="7" t="s">
        <v>13</v>
      </c>
      <c r="F27" s="7">
        <v>40</v>
      </c>
      <c r="G27" s="7">
        <v>600</v>
      </c>
      <c r="H27" s="7">
        <f t="shared" si="2"/>
        <v>24000</v>
      </c>
      <c r="I27" s="23"/>
      <c r="J27" s="12"/>
    </row>
    <row r="28" spans="1:10" s="4" customFormat="1" ht="24.9" customHeight="1">
      <c r="A28" s="19"/>
      <c r="B28" s="20"/>
      <c r="C28" s="19"/>
      <c r="D28" s="7" t="s">
        <v>34</v>
      </c>
      <c r="E28" s="7" t="s">
        <v>20</v>
      </c>
      <c r="F28" s="7">
        <v>6</v>
      </c>
      <c r="G28" s="7">
        <v>3000</v>
      </c>
      <c r="H28" s="7">
        <f t="shared" ref="H28:H35" si="3">G28*F28</f>
        <v>18000</v>
      </c>
      <c r="I28" s="23"/>
      <c r="J28" s="12"/>
    </row>
    <row r="29" spans="1:10" s="4" customFormat="1" ht="24.9" customHeight="1">
      <c r="A29" s="19"/>
      <c r="B29" s="20"/>
      <c r="C29" s="19"/>
      <c r="D29" s="7" t="s">
        <v>35</v>
      </c>
      <c r="E29" s="7" t="s">
        <v>20</v>
      </c>
      <c r="F29" s="7">
        <v>150</v>
      </c>
      <c r="G29" s="7">
        <v>50</v>
      </c>
      <c r="H29" s="7">
        <f t="shared" si="3"/>
        <v>7500</v>
      </c>
      <c r="I29" s="23"/>
      <c r="J29" s="12"/>
    </row>
    <row r="30" spans="1:10" s="4" customFormat="1" ht="24.9" customHeight="1">
      <c r="A30" s="19"/>
      <c r="B30" s="20"/>
      <c r="C30" s="19"/>
      <c r="D30" s="7" t="s">
        <v>15</v>
      </c>
      <c r="E30" s="7" t="s">
        <v>16</v>
      </c>
      <c r="F30" s="7">
        <f>80*4.5</f>
        <v>360</v>
      </c>
      <c r="G30" s="7">
        <v>120</v>
      </c>
      <c r="H30" s="7">
        <f t="shared" si="3"/>
        <v>43200</v>
      </c>
      <c r="I30" s="23"/>
      <c r="J30" s="12"/>
    </row>
    <row r="31" spans="1:10" s="4" customFormat="1" ht="60.9" customHeight="1">
      <c r="A31" s="7">
        <v>10</v>
      </c>
      <c r="B31" s="15" t="s">
        <v>78</v>
      </c>
      <c r="C31" s="7" t="s">
        <v>36</v>
      </c>
      <c r="D31" s="7" t="s">
        <v>37</v>
      </c>
      <c r="E31" s="7" t="s">
        <v>20</v>
      </c>
      <c r="F31" s="7">
        <v>20</v>
      </c>
      <c r="G31" s="7">
        <v>7500</v>
      </c>
      <c r="H31" s="7">
        <v>150000</v>
      </c>
      <c r="I31" s="7">
        <v>150000</v>
      </c>
      <c r="J31" s="13"/>
    </row>
    <row r="32" spans="1:10" s="4" customFormat="1" ht="33.049999999999997" customHeight="1">
      <c r="A32" s="19">
        <v>11</v>
      </c>
      <c r="B32" s="19" t="s">
        <v>79</v>
      </c>
      <c r="C32" s="19" t="s">
        <v>39</v>
      </c>
      <c r="D32" s="7" t="s">
        <v>15</v>
      </c>
      <c r="E32" s="7" t="s">
        <v>16</v>
      </c>
      <c r="F32" s="7">
        <f>20*2</f>
        <v>40</v>
      </c>
      <c r="G32" s="7">
        <v>120</v>
      </c>
      <c r="H32" s="7">
        <f t="shared" si="3"/>
        <v>4800</v>
      </c>
      <c r="I32" s="19">
        <f>H32+H33</f>
        <v>126400</v>
      </c>
      <c r="J32" s="13"/>
    </row>
    <row r="33" spans="1:10" s="4" customFormat="1" ht="33.049999999999997" customHeight="1">
      <c r="A33" s="19"/>
      <c r="B33" s="19"/>
      <c r="C33" s="19"/>
      <c r="D33" s="7" t="s">
        <v>22</v>
      </c>
      <c r="E33" s="7" t="s">
        <v>13</v>
      </c>
      <c r="F33" s="7">
        <v>152</v>
      </c>
      <c r="G33" s="7">
        <v>800</v>
      </c>
      <c r="H33" s="7">
        <f t="shared" si="3"/>
        <v>121600</v>
      </c>
      <c r="I33" s="19"/>
      <c r="J33" s="12"/>
    </row>
    <row r="34" spans="1:10" s="4" customFormat="1" ht="33.049999999999997" customHeight="1">
      <c r="A34" s="19">
        <v>12</v>
      </c>
      <c r="B34" s="19" t="s">
        <v>80</v>
      </c>
      <c r="C34" s="19" t="s">
        <v>41</v>
      </c>
      <c r="D34" s="7" t="s">
        <v>15</v>
      </c>
      <c r="E34" s="7" t="s">
        <v>16</v>
      </c>
      <c r="F34" s="7">
        <f>40*2</f>
        <v>80</v>
      </c>
      <c r="G34" s="7">
        <v>120</v>
      </c>
      <c r="H34" s="7">
        <f t="shared" si="3"/>
        <v>9600</v>
      </c>
      <c r="I34" s="19">
        <f>H34+H35</f>
        <v>105600</v>
      </c>
      <c r="J34" s="13"/>
    </row>
    <row r="35" spans="1:10" s="4" customFormat="1" ht="33.049999999999997" customHeight="1">
      <c r="A35" s="19"/>
      <c r="B35" s="19"/>
      <c r="C35" s="19"/>
      <c r="D35" s="7" t="s">
        <v>22</v>
      </c>
      <c r="E35" s="7" t="s">
        <v>13</v>
      </c>
      <c r="F35" s="7">
        <v>120</v>
      </c>
      <c r="G35" s="7">
        <v>800</v>
      </c>
      <c r="H35" s="7">
        <f t="shared" si="3"/>
        <v>96000</v>
      </c>
      <c r="I35" s="19"/>
      <c r="J35" s="12"/>
    </row>
    <row r="36" spans="1:10" s="4" customFormat="1" ht="33.049999999999997" customHeight="1">
      <c r="A36" s="19">
        <v>13</v>
      </c>
      <c r="B36" s="19" t="s">
        <v>81</v>
      </c>
      <c r="C36" s="19" t="s">
        <v>42</v>
      </c>
      <c r="D36" s="7" t="s">
        <v>43</v>
      </c>
      <c r="E36" s="7" t="s">
        <v>13</v>
      </c>
      <c r="F36" s="7">
        <f>3.5*4*3</f>
        <v>42</v>
      </c>
      <c r="G36" s="7">
        <v>1000</v>
      </c>
      <c r="H36" s="7">
        <f t="shared" ref="H36:H43" si="4">G36*F36</f>
        <v>42000</v>
      </c>
      <c r="I36" s="19">
        <f>H36+H37</f>
        <v>45000</v>
      </c>
      <c r="J36" s="13"/>
    </row>
    <row r="37" spans="1:10" s="4" customFormat="1" ht="33.049999999999997" customHeight="1">
      <c r="A37" s="19"/>
      <c r="B37" s="19"/>
      <c r="C37" s="19"/>
      <c r="D37" s="7" t="s">
        <v>44</v>
      </c>
      <c r="E37" s="7" t="s">
        <v>20</v>
      </c>
      <c r="F37" s="7">
        <v>15</v>
      </c>
      <c r="G37" s="7">
        <v>200</v>
      </c>
      <c r="H37" s="7">
        <f t="shared" si="4"/>
        <v>3000</v>
      </c>
      <c r="I37" s="19"/>
      <c r="J37" s="12"/>
    </row>
    <row r="38" spans="1:10" s="4" customFormat="1" ht="29.95" customHeight="1">
      <c r="A38" s="19">
        <v>14</v>
      </c>
      <c r="B38" s="19" t="s">
        <v>82</v>
      </c>
      <c r="C38" s="19" t="s">
        <v>46</v>
      </c>
      <c r="D38" s="7" t="s">
        <v>19</v>
      </c>
      <c r="E38" s="7" t="s">
        <v>20</v>
      </c>
      <c r="F38" s="7">
        <v>7</v>
      </c>
      <c r="G38" s="7">
        <v>800</v>
      </c>
      <c r="H38" s="7">
        <f t="shared" si="4"/>
        <v>5600</v>
      </c>
      <c r="I38" s="19">
        <f>H41+H40+H39+H38</f>
        <v>102200</v>
      </c>
      <c r="J38" s="13"/>
    </row>
    <row r="39" spans="1:10" s="4" customFormat="1" ht="29.95" customHeight="1">
      <c r="A39" s="19"/>
      <c r="B39" s="19"/>
      <c r="C39" s="19"/>
      <c r="D39" s="7" t="s">
        <v>15</v>
      </c>
      <c r="E39" s="7" t="s">
        <v>16</v>
      </c>
      <c r="F39" s="7">
        <f>15*2</f>
        <v>30</v>
      </c>
      <c r="G39" s="7">
        <v>120</v>
      </c>
      <c r="H39" s="7">
        <f t="shared" si="4"/>
        <v>3600</v>
      </c>
      <c r="I39" s="19"/>
      <c r="J39" s="12"/>
    </row>
    <row r="40" spans="1:10" s="4" customFormat="1" ht="29.95" customHeight="1">
      <c r="A40" s="19"/>
      <c r="B40" s="19"/>
      <c r="C40" s="19"/>
      <c r="D40" s="7" t="s">
        <v>21</v>
      </c>
      <c r="E40" s="7" t="s">
        <v>13</v>
      </c>
      <c r="F40" s="7">
        <f>15*4*2</f>
        <v>120</v>
      </c>
      <c r="G40" s="7">
        <v>15</v>
      </c>
      <c r="H40" s="7">
        <f t="shared" si="4"/>
        <v>1800</v>
      </c>
      <c r="I40" s="19"/>
      <c r="J40" s="12"/>
    </row>
    <row r="41" spans="1:10" s="4" customFormat="1" ht="29.95" customHeight="1">
      <c r="A41" s="19"/>
      <c r="B41" s="19"/>
      <c r="C41" s="19"/>
      <c r="D41" s="7" t="s">
        <v>22</v>
      </c>
      <c r="E41" s="7" t="s">
        <v>13</v>
      </c>
      <c r="F41" s="7">
        <v>114</v>
      </c>
      <c r="G41" s="7">
        <v>800</v>
      </c>
      <c r="H41" s="7">
        <f t="shared" si="4"/>
        <v>91200</v>
      </c>
      <c r="I41" s="19"/>
      <c r="J41" s="12"/>
    </row>
    <row r="42" spans="1:10" s="4" customFormat="1" ht="29.95" customHeight="1">
      <c r="A42" s="19">
        <v>15</v>
      </c>
      <c r="B42" s="20" t="s">
        <v>83</v>
      </c>
      <c r="C42" s="20" t="s">
        <v>48</v>
      </c>
      <c r="D42" s="7" t="s">
        <v>22</v>
      </c>
      <c r="E42" s="7" t="s">
        <v>13</v>
      </c>
      <c r="F42" s="7">
        <v>132.4</v>
      </c>
      <c r="G42" s="7">
        <v>800</v>
      </c>
      <c r="H42" s="7">
        <f t="shared" si="4"/>
        <v>105920</v>
      </c>
      <c r="I42" s="19">
        <f>H42+H43+H44</f>
        <v>112520</v>
      </c>
      <c r="J42" s="13"/>
    </row>
    <row r="43" spans="1:10" s="4" customFormat="1" ht="29.95" customHeight="1">
      <c r="A43" s="19"/>
      <c r="B43" s="20"/>
      <c r="C43" s="20"/>
      <c r="D43" s="7" t="s">
        <v>21</v>
      </c>
      <c r="E43" s="7" t="s">
        <v>13</v>
      </c>
      <c r="F43" s="7">
        <f>20*3*2</f>
        <v>120</v>
      </c>
      <c r="G43" s="7">
        <v>15</v>
      </c>
      <c r="H43" s="7">
        <f t="shared" si="4"/>
        <v>1800</v>
      </c>
      <c r="I43" s="19"/>
      <c r="J43" s="12"/>
    </row>
    <row r="44" spans="1:10" s="4" customFormat="1" ht="29.95" customHeight="1">
      <c r="A44" s="21"/>
      <c r="B44" s="22"/>
      <c r="C44" s="22"/>
      <c r="D44" s="9" t="s">
        <v>15</v>
      </c>
      <c r="E44" s="9" t="s">
        <v>16</v>
      </c>
      <c r="F44" s="9">
        <f>20*2</f>
        <v>40</v>
      </c>
      <c r="G44" s="9">
        <v>120</v>
      </c>
      <c r="H44" s="9">
        <f t="shared" ref="H44:H48" si="5">G44*F44</f>
        <v>4800</v>
      </c>
      <c r="I44" s="21"/>
      <c r="J44" s="14"/>
    </row>
    <row r="45" spans="1:10" s="4" customFormat="1" ht="29.95" customHeight="1">
      <c r="A45" s="19">
        <v>16</v>
      </c>
      <c r="B45" s="20" t="s">
        <v>84</v>
      </c>
      <c r="C45" s="19" t="s">
        <v>50</v>
      </c>
      <c r="D45" s="7" t="s">
        <v>22</v>
      </c>
      <c r="E45" s="7" t="s">
        <v>13</v>
      </c>
      <c r="F45" s="7">
        <v>266</v>
      </c>
      <c r="G45" s="7">
        <v>800</v>
      </c>
      <c r="H45" s="7">
        <f t="shared" si="5"/>
        <v>212800</v>
      </c>
      <c r="I45" s="19">
        <f>H45+H46+H47</f>
        <v>225400</v>
      </c>
      <c r="J45" s="13"/>
    </row>
    <row r="46" spans="1:10" s="4" customFormat="1" ht="29.95" customHeight="1">
      <c r="A46" s="19"/>
      <c r="B46" s="20"/>
      <c r="C46" s="19"/>
      <c r="D46" s="7" t="s">
        <v>21</v>
      </c>
      <c r="E46" s="7" t="s">
        <v>13</v>
      </c>
      <c r="F46" s="7">
        <f>35*4*2</f>
        <v>280</v>
      </c>
      <c r="G46" s="7">
        <v>15</v>
      </c>
      <c r="H46" s="7">
        <f t="shared" si="5"/>
        <v>4200</v>
      </c>
      <c r="I46" s="19"/>
      <c r="J46" s="12"/>
    </row>
    <row r="47" spans="1:10" s="4" customFormat="1" ht="29.95" customHeight="1">
      <c r="A47" s="19"/>
      <c r="B47" s="20"/>
      <c r="C47" s="19"/>
      <c r="D47" s="7" t="s">
        <v>15</v>
      </c>
      <c r="E47" s="7" t="s">
        <v>16</v>
      </c>
      <c r="F47" s="7">
        <f>35*2</f>
        <v>70</v>
      </c>
      <c r="G47" s="7">
        <v>120</v>
      </c>
      <c r="H47" s="7">
        <f t="shared" si="5"/>
        <v>8400</v>
      </c>
      <c r="I47" s="19"/>
      <c r="J47" s="7"/>
    </row>
    <row r="48" spans="1:10" s="4" customFormat="1" ht="29.95" customHeight="1">
      <c r="A48" s="7">
        <v>17</v>
      </c>
      <c r="B48" s="15" t="s">
        <v>85</v>
      </c>
      <c r="C48" s="7" t="s">
        <v>52</v>
      </c>
      <c r="D48" s="7" t="s">
        <v>22</v>
      </c>
      <c r="E48" s="7" t="s">
        <v>13</v>
      </c>
      <c r="F48" s="7">
        <v>180</v>
      </c>
      <c r="G48" s="7">
        <v>800</v>
      </c>
      <c r="H48" s="7">
        <f t="shared" si="5"/>
        <v>144000</v>
      </c>
      <c r="I48" s="7">
        <f t="shared" ref="I48" si="6">H48</f>
        <v>144000</v>
      </c>
      <c r="J48" s="7"/>
    </row>
    <row r="49" spans="1:10" s="4" customFormat="1" ht="35.35" customHeight="1">
      <c r="A49" s="16">
        <v>18</v>
      </c>
      <c r="B49" s="17" t="s">
        <v>86</v>
      </c>
      <c r="C49" s="16" t="s">
        <v>87</v>
      </c>
      <c r="D49" s="16" t="s">
        <v>88</v>
      </c>
      <c r="E49" s="16" t="s">
        <v>13</v>
      </c>
      <c r="F49" s="16">
        <v>20</v>
      </c>
      <c r="G49" s="16">
        <v>12500</v>
      </c>
      <c r="H49" s="16">
        <v>250000</v>
      </c>
      <c r="I49" s="16">
        <v>250000</v>
      </c>
      <c r="J49" s="16"/>
    </row>
    <row r="50" spans="1:10" s="4" customFormat="1" ht="29.95" customHeight="1">
      <c r="A50" s="7"/>
      <c r="B50" s="8" t="s">
        <v>56</v>
      </c>
      <c r="C50" s="7"/>
      <c r="D50" s="7"/>
      <c r="E50" s="7"/>
      <c r="F50" s="7"/>
      <c r="G50" s="7"/>
      <c r="H50" s="10"/>
      <c r="I50" s="10">
        <v>4622138</v>
      </c>
      <c r="J50" s="7"/>
    </row>
    <row r="51" spans="1:10" s="4" customFormat="1" ht="29.95" customHeight="1"/>
    <row r="52" spans="1:10" s="4" customFormat="1" ht="29.95" customHeight="1"/>
    <row r="53" spans="1:10" s="4" customFormat="1" ht="29.95" customHeight="1"/>
    <row r="54" spans="1:10" s="4" customFormat="1" ht="20.149999999999999" customHeight="1"/>
  </sheetData>
  <mergeCells count="57">
    <mergeCell ref="I45:I47"/>
    <mergeCell ref="I32:I33"/>
    <mergeCell ref="I34:I35"/>
    <mergeCell ref="I36:I37"/>
    <mergeCell ref="I38:I41"/>
    <mergeCell ref="I42:I44"/>
    <mergeCell ref="I11:I14"/>
    <mergeCell ref="I15:I18"/>
    <mergeCell ref="I19:I20"/>
    <mergeCell ref="I22:I25"/>
    <mergeCell ref="I26:I30"/>
    <mergeCell ref="C45:C47"/>
    <mergeCell ref="C32:C33"/>
    <mergeCell ref="C34:C35"/>
    <mergeCell ref="C36:C37"/>
    <mergeCell ref="C38:C41"/>
    <mergeCell ref="C42:C44"/>
    <mergeCell ref="C11:C14"/>
    <mergeCell ref="C15:C18"/>
    <mergeCell ref="C19:C20"/>
    <mergeCell ref="C22:C25"/>
    <mergeCell ref="C26:C30"/>
    <mergeCell ref="B45:B47"/>
    <mergeCell ref="B32:B33"/>
    <mergeCell ref="B34:B35"/>
    <mergeCell ref="B36:B37"/>
    <mergeCell ref="B38:B41"/>
    <mergeCell ref="B42:B44"/>
    <mergeCell ref="B11:B14"/>
    <mergeCell ref="B15:B18"/>
    <mergeCell ref="B19:B20"/>
    <mergeCell ref="B22:B25"/>
    <mergeCell ref="B26:B30"/>
    <mergeCell ref="A45:A47"/>
    <mergeCell ref="A32:A33"/>
    <mergeCell ref="A34:A35"/>
    <mergeCell ref="A36:A37"/>
    <mergeCell ref="A38:A41"/>
    <mergeCell ref="A42:A44"/>
    <mergeCell ref="A11:A14"/>
    <mergeCell ref="A15:A18"/>
    <mergeCell ref="A19:A20"/>
    <mergeCell ref="A22:A25"/>
    <mergeCell ref="A26:A30"/>
    <mergeCell ref="A1:J1"/>
    <mergeCell ref="A3:A5"/>
    <mergeCell ref="A6:A8"/>
    <mergeCell ref="A9:A10"/>
    <mergeCell ref="B3:B5"/>
    <mergeCell ref="B6:B8"/>
    <mergeCell ref="B9:B10"/>
    <mergeCell ref="C3:C5"/>
    <mergeCell ref="C6:C8"/>
    <mergeCell ref="C9:C10"/>
    <mergeCell ref="I3:I5"/>
    <mergeCell ref="I6:I8"/>
    <mergeCell ref="I9:I10"/>
  </mergeCells>
  <phoneticPr fontId="12" type="noConversion"/>
  <pageMargins left="0.75138888888888899" right="0.75138888888888899" top="1" bottom="1" header="0.5" footer="0.5"/>
  <pageSetup paperSize="9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EQ50"/>
  <sheetViews>
    <sheetView workbookViewId="0">
      <pane ySplit="2" topLeftCell="A15" activePane="bottomLeft" state="frozen"/>
      <selection pane="bottomLeft" activeCell="A16" sqref="A16"/>
    </sheetView>
  </sheetViews>
  <sheetFormatPr defaultColWidth="9.77734375" defaultRowHeight="15.75"/>
  <cols>
    <col min="1" max="1" width="9.77734375" style="1"/>
    <col min="2" max="2" width="31.44140625" style="1" customWidth="1"/>
    <col min="3" max="3" width="11.6640625" style="1"/>
    <col min="4" max="5" width="9.77734375" style="1"/>
    <col min="6" max="6" width="10.33203125" style="1" customWidth="1"/>
    <col min="7" max="8" width="9.77734375" style="1"/>
    <col min="9" max="9" width="13.6640625" style="1" customWidth="1"/>
    <col min="10" max="10" width="9.77734375" style="1"/>
    <col min="11" max="11" width="10.44140625" style="1"/>
    <col min="12" max="12" width="11.77734375" style="1"/>
    <col min="13" max="16371" width="9.77734375" style="1"/>
  </cols>
  <sheetData>
    <row r="1" spans="1:10" s="1" customFormat="1" ht="33.049999999999997" customHeight="1">
      <c r="A1" s="24" t="s">
        <v>57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1" customFormat="1" ht="39.950000000000003" customHeight="1">
      <c r="A2" s="2" t="s">
        <v>0</v>
      </c>
      <c r="B2" s="2" t="s">
        <v>58</v>
      </c>
      <c r="C2" s="2" t="s">
        <v>59</v>
      </c>
      <c r="D2" s="2" t="s">
        <v>60</v>
      </c>
      <c r="E2" s="2" t="s">
        <v>61</v>
      </c>
      <c r="F2" s="2" t="s">
        <v>62</v>
      </c>
      <c r="G2" s="2" t="s">
        <v>63</v>
      </c>
      <c r="H2" s="2" t="s">
        <v>64</v>
      </c>
      <c r="I2" s="2" t="s">
        <v>65</v>
      </c>
      <c r="J2" s="3" t="s">
        <v>9</v>
      </c>
    </row>
    <row r="3" spans="1:10" s="1" customFormat="1" ht="32.1" customHeight="1">
      <c r="A3" s="2">
        <v>1</v>
      </c>
      <c r="B3" s="2" t="s">
        <v>10</v>
      </c>
      <c r="C3" s="2">
        <v>50</v>
      </c>
      <c r="D3" s="2">
        <v>2</v>
      </c>
      <c r="E3" s="2">
        <v>1</v>
      </c>
      <c r="F3" s="2">
        <v>1</v>
      </c>
      <c r="G3" s="2"/>
      <c r="H3" s="2"/>
      <c r="I3" s="3">
        <f>ROUND(((E3+F3)/2*D3+G3*H3)*C3,2)</f>
        <v>100</v>
      </c>
      <c r="J3" s="3" t="s">
        <v>66</v>
      </c>
    </row>
    <row r="4" spans="1:10" s="1" customFormat="1" ht="29.95" customHeight="1">
      <c r="A4" s="3">
        <v>2</v>
      </c>
      <c r="B4" s="2" t="s">
        <v>17</v>
      </c>
      <c r="C4" s="3">
        <v>15</v>
      </c>
      <c r="D4" s="3">
        <v>3.1</v>
      </c>
      <c r="E4" s="3">
        <v>0.8</v>
      </c>
      <c r="F4" s="3">
        <f>ROUND((E4+D4/4),2)</f>
        <v>1.58</v>
      </c>
      <c r="G4" s="3">
        <v>2</v>
      </c>
      <c r="H4" s="3">
        <f>F4+0.6</f>
        <v>2.1800000000000002</v>
      </c>
      <c r="I4" s="3">
        <f>ROUND(((E4+F4)/2*D4+G4*H4)*C4,2)</f>
        <v>120.74</v>
      </c>
      <c r="J4" s="3"/>
    </row>
    <row r="5" spans="1:10" s="1" customFormat="1" ht="29.95" customHeight="1">
      <c r="A5" s="3">
        <v>3</v>
      </c>
      <c r="B5" s="2" t="s">
        <v>23</v>
      </c>
      <c r="C5" s="3">
        <v>36</v>
      </c>
      <c r="D5" s="3">
        <v>6.8</v>
      </c>
      <c r="E5" s="3">
        <v>0.8</v>
      </c>
      <c r="F5" s="3">
        <f t="shared" ref="F5:F10" si="0">ROUND((E5+D5/4),2)</f>
        <v>2.5</v>
      </c>
      <c r="G5" s="3">
        <v>2</v>
      </c>
      <c r="H5" s="3">
        <f t="shared" ref="H5:H10" si="1">F5+0.6</f>
        <v>3.1</v>
      </c>
      <c r="I5" s="3">
        <f t="shared" ref="I5:I11" si="2">ROUND(((E5+F5)/2*D5+G5*H5)*C5,2)</f>
        <v>627.12</v>
      </c>
      <c r="J5" s="3"/>
    </row>
    <row r="6" spans="1:10" s="1" customFormat="1" ht="29.95" customHeight="1">
      <c r="A6" s="3">
        <v>4</v>
      </c>
      <c r="B6" s="2" t="s">
        <v>24</v>
      </c>
      <c r="C6" s="3">
        <v>7.3</v>
      </c>
      <c r="D6" s="3">
        <v>2.8</v>
      </c>
      <c r="E6" s="3">
        <v>0.8</v>
      </c>
      <c r="F6" s="3">
        <f t="shared" si="0"/>
        <v>1.5</v>
      </c>
      <c r="G6" s="3">
        <v>1.5</v>
      </c>
      <c r="H6" s="3">
        <f t="shared" si="1"/>
        <v>2.1</v>
      </c>
      <c r="I6" s="3">
        <f t="shared" si="2"/>
        <v>46.5</v>
      </c>
      <c r="J6" s="3"/>
    </row>
    <row r="7" spans="1:10" s="1" customFormat="1" ht="29.95" customHeight="1">
      <c r="A7" s="3">
        <f>情况统计及金额预估表!A15</f>
        <v>5</v>
      </c>
      <c r="B7" s="2" t="str">
        <f>情况统计及金额预估表!B15</f>
        <v>福城村7组三块碑道路</v>
      </c>
      <c r="C7" s="3">
        <v>16</v>
      </c>
      <c r="D7" s="3">
        <v>2.9</v>
      </c>
      <c r="E7" s="3">
        <v>0.8</v>
      </c>
      <c r="F7" s="3">
        <f t="shared" si="0"/>
        <v>1.53</v>
      </c>
      <c r="G7" s="3">
        <v>1.5</v>
      </c>
      <c r="H7" s="3">
        <f t="shared" si="1"/>
        <v>2.13</v>
      </c>
      <c r="I7" s="3">
        <f t="shared" si="2"/>
        <v>105.18</v>
      </c>
      <c r="J7" s="3"/>
    </row>
    <row r="8" spans="1:10" s="1" customFormat="1" ht="29.95" customHeight="1">
      <c r="A8" s="3">
        <v>6.1</v>
      </c>
      <c r="B8" s="2" t="str">
        <f>情况统计及金额预估表!B19</f>
        <v>长乐村4组猫儿沟</v>
      </c>
      <c r="C8" s="3">
        <v>10</v>
      </c>
      <c r="D8" s="3">
        <v>5</v>
      </c>
      <c r="E8" s="3">
        <v>0.8</v>
      </c>
      <c r="F8" s="3">
        <f t="shared" si="0"/>
        <v>2.0499999999999998</v>
      </c>
      <c r="G8" s="3">
        <v>2</v>
      </c>
      <c r="H8" s="3">
        <f t="shared" si="1"/>
        <v>2.65</v>
      </c>
      <c r="I8" s="3">
        <f t="shared" si="2"/>
        <v>124.25</v>
      </c>
      <c r="J8" s="3"/>
    </row>
    <row r="9" spans="1:10" ht="29.95" customHeight="1">
      <c r="A9" s="3">
        <v>6.2</v>
      </c>
      <c r="B9" s="2" t="str">
        <f>B8</f>
        <v>长乐村4组猫儿沟</v>
      </c>
      <c r="C9" s="3">
        <v>20</v>
      </c>
      <c r="D9" s="3">
        <v>3.5</v>
      </c>
      <c r="E9" s="3">
        <v>0.8</v>
      </c>
      <c r="F9" s="3">
        <f t="shared" si="0"/>
        <v>1.68</v>
      </c>
      <c r="G9" s="3">
        <v>1.5</v>
      </c>
      <c r="H9" s="3">
        <f t="shared" si="1"/>
        <v>2.2799999999999998</v>
      </c>
      <c r="I9" s="3">
        <f t="shared" si="2"/>
        <v>155.19999999999999</v>
      </c>
      <c r="J9" s="3"/>
    </row>
    <row r="10" spans="1:10" ht="29.95" customHeight="1">
      <c r="A10" s="3">
        <v>8</v>
      </c>
      <c r="B10" s="2" t="s">
        <v>30</v>
      </c>
      <c r="C10" s="3">
        <v>58</v>
      </c>
      <c r="D10" s="3">
        <v>5.8</v>
      </c>
      <c r="E10" s="3">
        <v>0.8</v>
      </c>
      <c r="F10" s="3">
        <f t="shared" si="0"/>
        <v>2.25</v>
      </c>
      <c r="G10" s="3">
        <v>2</v>
      </c>
      <c r="H10" s="3">
        <f t="shared" si="1"/>
        <v>2.85</v>
      </c>
      <c r="I10" s="3">
        <f t="shared" si="2"/>
        <v>843.61</v>
      </c>
      <c r="J10" s="3"/>
    </row>
    <row r="11" spans="1:10" s="1" customFormat="1" ht="29.95" customHeight="1">
      <c r="A11" s="3">
        <v>9.1</v>
      </c>
      <c r="B11" s="2" t="s">
        <v>32</v>
      </c>
      <c r="C11" s="3">
        <v>20</v>
      </c>
      <c r="D11" s="3">
        <v>2</v>
      </c>
      <c r="E11" s="3">
        <v>1</v>
      </c>
      <c r="F11" s="3">
        <v>1</v>
      </c>
      <c r="G11" s="3">
        <v>0</v>
      </c>
      <c r="H11" s="3">
        <v>0</v>
      </c>
      <c r="I11" s="3">
        <f t="shared" si="2"/>
        <v>40</v>
      </c>
      <c r="J11" s="3" t="s">
        <v>66</v>
      </c>
    </row>
    <row r="12" spans="1:10" s="1" customFormat="1" ht="29.95" customHeight="1">
      <c r="A12" s="3">
        <v>9.1999999999999993</v>
      </c>
      <c r="B12" s="2" t="s">
        <v>32</v>
      </c>
      <c r="C12" s="3">
        <v>40</v>
      </c>
      <c r="D12" s="3">
        <v>5</v>
      </c>
      <c r="E12" s="3">
        <v>0.8</v>
      </c>
      <c r="F12" s="3">
        <f t="shared" ref="F12:F14" si="3">ROUND((E12+D12/4),2)</f>
        <v>2.0499999999999998</v>
      </c>
      <c r="G12" s="3">
        <v>2</v>
      </c>
      <c r="H12" s="3">
        <f t="shared" ref="H12:H13" si="4">F12+0.6</f>
        <v>2.65</v>
      </c>
      <c r="I12" s="3">
        <f t="shared" ref="I12:I13" si="5">ROUND(((E12+F12)/2*D12+G12*H12)*C12,2)</f>
        <v>497</v>
      </c>
      <c r="J12" s="3"/>
    </row>
    <row r="13" spans="1:10" s="1" customFormat="1" ht="29.95" customHeight="1">
      <c r="A13" s="3">
        <v>9.3000000000000007</v>
      </c>
      <c r="B13" s="2" t="s">
        <v>32</v>
      </c>
      <c r="C13" s="3">
        <v>25</v>
      </c>
      <c r="D13" s="3">
        <v>3</v>
      </c>
      <c r="E13" s="3">
        <v>0.8</v>
      </c>
      <c r="F13" s="3">
        <f t="shared" si="3"/>
        <v>1.55</v>
      </c>
      <c r="G13" s="3">
        <v>1</v>
      </c>
      <c r="H13" s="3">
        <f t="shared" si="4"/>
        <v>2.15</v>
      </c>
      <c r="I13" s="3">
        <f t="shared" si="5"/>
        <v>141.88</v>
      </c>
      <c r="J13" s="3"/>
    </row>
    <row r="14" spans="1:10" s="1" customFormat="1" ht="29.95" customHeight="1">
      <c r="A14" s="3">
        <v>11</v>
      </c>
      <c r="B14" s="3" t="s">
        <v>38</v>
      </c>
      <c r="C14" s="3">
        <v>20</v>
      </c>
      <c r="D14" s="3">
        <v>4</v>
      </c>
      <c r="E14" s="3">
        <v>0.8</v>
      </c>
      <c r="F14" s="3">
        <f t="shared" si="3"/>
        <v>1.8</v>
      </c>
      <c r="G14" s="3">
        <v>1</v>
      </c>
      <c r="H14" s="3">
        <f t="shared" ref="H14:H22" si="6">F14+0.6</f>
        <v>2.4</v>
      </c>
      <c r="I14" s="3">
        <f t="shared" ref="I14:I16" si="7">ROUND(((E14+F14)/2*D14+G14*H14)*C14,2)</f>
        <v>152</v>
      </c>
      <c r="J14" s="3"/>
    </row>
    <row r="15" spans="1:10" ht="29.95" customHeight="1">
      <c r="A15" s="3">
        <v>12</v>
      </c>
      <c r="B15" s="3" t="s">
        <v>40</v>
      </c>
      <c r="C15" s="3">
        <v>80</v>
      </c>
      <c r="D15" s="3">
        <v>1</v>
      </c>
      <c r="E15" s="3">
        <v>1</v>
      </c>
      <c r="F15" s="3">
        <v>2</v>
      </c>
      <c r="G15" s="3">
        <v>0</v>
      </c>
      <c r="H15" s="3">
        <v>0</v>
      </c>
      <c r="I15" s="3">
        <f t="shared" si="7"/>
        <v>120</v>
      </c>
      <c r="J15" s="3"/>
    </row>
    <row r="16" spans="1:10" ht="29.95" customHeight="1">
      <c r="A16" s="3">
        <v>14</v>
      </c>
      <c r="B16" s="2" t="s">
        <v>45</v>
      </c>
      <c r="C16" s="3">
        <v>15</v>
      </c>
      <c r="D16" s="3">
        <v>4</v>
      </c>
      <c r="E16" s="3">
        <v>0.8</v>
      </c>
      <c r="F16" s="3">
        <f t="shared" ref="F16:F22" si="8">ROUND((E16+D16/4),2)</f>
        <v>1.8</v>
      </c>
      <c r="G16" s="3">
        <v>1</v>
      </c>
      <c r="H16" s="3">
        <f t="shared" si="6"/>
        <v>2.4</v>
      </c>
      <c r="I16" s="3">
        <f t="shared" si="7"/>
        <v>114</v>
      </c>
      <c r="J16" s="3"/>
    </row>
    <row r="17" spans="1:10" ht="29.95" customHeight="1">
      <c r="A17" s="3">
        <v>15</v>
      </c>
      <c r="B17" s="2" t="s">
        <v>47</v>
      </c>
      <c r="C17" s="3">
        <v>20</v>
      </c>
      <c r="D17" s="3">
        <v>3.5</v>
      </c>
      <c r="E17" s="3">
        <v>0.8</v>
      </c>
      <c r="F17" s="3">
        <f t="shared" si="8"/>
        <v>1.68</v>
      </c>
      <c r="G17" s="3">
        <v>1</v>
      </c>
      <c r="H17" s="3">
        <f t="shared" si="6"/>
        <v>2.2799999999999998</v>
      </c>
      <c r="I17" s="3">
        <f t="shared" ref="I17:I23" si="9">ROUND(((E17+F17)/2*D17+G17*H17)*C17,2)</f>
        <v>132.4</v>
      </c>
      <c r="J17" s="3"/>
    </row>
    <row r="18" spans="1:10" ht="29.95" customHeight="1">
      <c r="A18" s="3">
        <v>16</v>
      </c>
      <c r="B18" s="2" t="s">
        <v>49</v>
      </c>
      <c r="C18" s="3">
        <v>35</v>
      </c>
      <c r="D18" s="3">
        <v>4</v>
      </c>
      <c r="E18" s="3">
        <v>0.8</v>
      </c>
      <c r="F18" s="3">
        <f t="shared" si="8"/>
        <v>1.8</v>
      </c>
      <c r="G18" s="3">
        <v>1</v>
      </c>
      <c r="H18" s="3">
        <f t="shared" si="6"/>
        <v>2.4</v>
      </c>
      <c r="I18" s="3">
        <f t="shared" si="9"/>
        <v>266</v>
      </c>
      <c r="J18" s="3"/>
    </row>
    <row r="19" spans="1:10" ht="29.95" customHeight="1">
      <c r="A19" s="3">
        <v>17</v>
      </c>
      <c r="B19" s="2" t="s">
        <v>51</v>
      </c>
      <c r="C19" s="3">
        <v>10</v>
      </c>
      <c r="D19" s="3">
        <v>6</v>
      </c>
      <c r="E19" s="3">
        <v>0.8</v>
      </c>
      <c r="F19" s="3">
        <f t="shared" si="8"/>
        <v>2.2999999999999998</v>
      </c>
      <c r="G19" s="3">
        <v>3</v>
      </c>
      <c r="H19" s="3">
        <f t="shared" si="6"/>
        <v>2.9</v>
      </c>
      <c r="I19" s="3">
        <f t="shared" si="9"/>
        <v>180</v>
      </c>
      <c r="J19" s="3"/>
    </row>
    <row r="20" spans="1:10" ht="29.95" customHeight="1">
      <c r="A20" s="3">
        <v>18</v>
      </c>
      <c r="B20" s="2" t="s">
        <v>53</v>
      </c>
      <c r="C20" s="3">
        <v>10</v>
      </c>
      <c r="D20" s="3">
        <v>4</v>
      </c>
      <c r="E20" s="3">
        <v>0.8</v>
      </c>
      <c r="F20" s="3">
        <f t="shared" si="8"/>
        <v>1.8</v>
      </c>
      <c r="G20" s="3">
        <v>1</v>
      </c>
      <c r="H20" s="3">
        <f t="shared" si="6"/>
        <v>2.4</v>
      </c>
      <c r="I20" s="3">
        <f t="shared" si="9"/>
        <v>76</v>
      </c>
      <c r="J20" s="3"/>
    </row>
    <row r="21" spans="1:10" ht="29.95" customHeight="1">
      <c r="A21" s="3">
        <v>19</v>
      </c>
      <c r="B21" s="2" t="s">
        <v>54</v>
      </c>
      <c r="C21" s="3">
        <v>30</v>
      </c>
      <c r="D21" s="3">
        <v>4</v>
      </c>
      <c r="E21" s="3">
        <v>0.8</v>
      </c>
      <c r="F21" s="3">
        <f t="shared" si="8"/>
        <v>1.8</v>
      </c>
      <c r="G21" s="3">
        <v>1</v>
      </c>
      <c r="H21" s="3">
        <f t="shared" si="6"/>
        <v>2.4</v>
      </c>
      <c r="I21" s="3">
        <f t="shared" si="9"/>
        <v>228</v>
      </c>
      <c r="J21" s="3"/>
    </row>
    <row r="22" spans="1:10" ht="29.95" customHeight="1">
      <c r="A22" s="3">
        <v>21</v>
      </c>
      <c r="B22" s="2" t="s">
        <v>55</v>
      </c>
      <c r="C22" s="3">
        <v>21</v>
      </c>
      <c r="D22" s="3">
        <v>2</v>
      </c>
      <c r="E22" s="3">
        <v>0.8</v>
      </c>
      <c r="F22" s="3">
        <f t="shared" si="8"/>
        <v>1.3</v>
      </c>
      <c r="G22" s="3">
        <v>1</v>
      </c>
      <c r="H22" s="3">
        <f t="shared" si="6"/>
        <v>1.9</v>
      </c>
      <c r="I22" s="3">
        <f t="shared" si="9"/>
        <v>84</v>
      </c>
      <c r="J22" s="3"/>
    </row>
    <row r="23" spans="1:10" ht="29.95" customHeight="1">
      <c r="A23" s="3">
        <v>25</v>
      </c>
      <c r="B23" s="2" t="e">
        <f>情况统计及金额预估表!#REF!</f>
        <v>#REF!</v>
      </c>
      <c r="C23" s="3">
        <v>6</v>
      </c>
      <c r="D23" s="3">
        <v>2</v>
      </c>
      <c r="E23" s="3">
        <v>1</v>
      </c>
      <c r="F23" s="3">
        <v>1</v>
      </c>
      <c r="G23" s="3"/>
      <c r="H23" s="3"/>
      <c r="I23" s="3">
        <f t="shared" si="9"/>
        <v>12</v>
      </c>
      <c r="J23" s="3"/>
    </row>
    <row r="24" spans="1:10" ht="29.95" customHeight="1">
      <c r="A24" s="3"/>
      <c r="B24" s="2"/>
      <c r="C24" s="3"/>
      <c r="D24" s="3"/>
      <c r="E24" s="3"/>
      <c r="F24" s="3"/>
      <c r="G24" s="3"/>
      <c r="H24" s="3"/>
      <c r="I24" s="3"/>
      <c r="J24" s="3"/>
    </row>
    <row r="25" spans="1:10" ht="29.95" customHeight="1">
      <c r="A25" s="3"/>
      <c r="B25" s="3" t="s">
        <v>67</v>
      </c>
      <c r="C25" s="3"/>
      <c r="D25" s="3"/>
      <c r="E25" s="3"/>
      <c r="F25" s="3"/>
      <c r="G25" s="3"/>
      <c r="H25" s="3"/>
      <c r="I25" s="3">
        <f>SUM(I3:I23)</f>
        <v>4165.88</v>
      </c>
      <c r="J25" s="3"/>
    </row>
    <row r="26" spans="1:10" ht="29.95" customHeight="1"/>
    <row r="27" spans="1:10" ht="29.95" customHeight="1"/>
    <row r="28" spans="1:10" ht="29.95" customHeight="1"/>
    <row r="29" spans="1:10" ht="29.95" customHeight="1"/>
    <row r="30" spans="1:10" ht="29.95" customHeight="1"/>
    <row r="31" spans="1:10" ht="29.95" customHeight="1"/>
    <row r="32" spans="1:10" s="1" customFormat="1" ht="29.95" customHeight="1"/>
    <row r="33" ht="29.95" customHeight="1"/>
    <row r="34" ht="29.95" customHeight="1"/>
    <row r="35" ht="29.95" customHeight="1"/>
    <row r="36" ht="29.95" customHeight="1"/>
    <row r="37" ht="29.95" customHeight="1"/>
    <row r="38" ht="29.95" customHeight="1"/>
    <row r="39" ht="29.95" customHeight="1"/>
    <row r="40" ht="29.95" customHeight="1"/>
    <row r="41" ht="29.95" customHeight="1"/>
    <row r="42" ht="29.95" customHeight="1"/>
    <row r="43" ht="29.95" customHeight="1"/>
    <row r="44" ht="29.95" customHeight="1"/>
    <row r="45" ht="29.95" customHeight="1"/>
    <row r="46" ht="29.95" customHeight="1"/>
    <row r="47" ht="29.95" customHeight="1"/>
    <row r="48" ht="29.95" customHeight="1"/>
    <row r="49" ht="29.95" customHeight="1"/>
    <row r="50" ht="29.95" customHeight="1"/>
  </sheetData>
  <mergeCells count="1">
    <mergeCell ref="A1:J1"/>
  </mergeCells>
  <phoneticPr fontId="12" type="noConversion"/>
  <pageMargins left="0.75138888888888899" right="0.75138888888888899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情况统计及金额预估表</vt:lpstr>
      <vt:lpstr>挡墙细量</vt:lpstr>
      <vt:lpstr>挡墙细量!Print_Titles</vt:lpstr>
      <vt:lpstr>情况统计及金额预估表!Print_Titles</vt:lpstr>
    </vt:vector>
  </TitlesOfParts>
  <Company>市纪委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徐小红</dc:creator>
  <cp:lastModifiedBy>xbany</cp:lastModifiedBy>
  <cp:lastPrinted>2022-09-19T03:22:43Z</cp:lastPrinted>
  <dcterms:created xsi:type="dcterms:W3CDTF">2021-11-04T11:38:00Z</dcterms:created>
  <dcterms:modified xsi:type="dcterms:W3CDTF">2022-09-19T03:25:21Z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